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Sheet1" sheetId="1" r:id="rId1"/>
    <sheet name="Sheet2" sheetId="2" state="hidden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<sst xmlns="http://schemas.openxmlformats.org/spreadsheetml/2006/main" count="87" uniqueCount="81">
  <si>
    <t>United States</t>
  </si>
  <si>
    <t>India</t>
  </si>
  <si>
    <t>United Kingdom</t>
  </si>
  <si>
    <t>Indonesia</t>
  </si>
  <si>
    <t>Canada</t>
  </si>
  <si>
    <t>France</t>
  </si>
  <si>
    <t>Mexico</t>
  </si>
  <si>
    <t>South Africa</t>
  </si>
  <si>
    <t>Philippines</t>
  </si>
  <si>
    <t>Japan</t>
  </si>
  <si>
    <t>Other Countries</t>
  </si>
  <si>
    <t>North America</t>
  </si>
  <si>
    <t>Asia</t>
  </si>
  <si>
    <t>Western Europe</t>
  </si>
  <si>
    <t>Africa</t>
  </si>
  <si>
    <t>Latin America</t>
  </si>
  <si>
    <t>Eastern Europe</t>
  </si>
  <si>
    <t>Oceania</t>
  </si>
  <si>
    <t>Other</t>
  </si>
  <si>
    <t>Total</t>
  </si>
  <si>
    <t>% CPC</t>
  </si>
  <si>
    <t>% CPM</t>
  </si>
  <si>
    <t>Fully loaded Cost of employees in K$</t>
  </si>
  <si>
    <t>Revenue</t>
  </si>
  <si>
    <t>Click through rate</t>
  </si>
  <si>
    <t>Number of clicks</t>
  </si>
  <si>
    <t>Buisness %</t>
  </si>
  <si>
    <t>Current employee base linkedin</t>
  </si>
  <si>
    <t>Monthly growth</t>
  </si>
  <si>
    <t>Technology cost at 2% of Rev</t>
  </si>
  <si>
    <t>Discount rate</t>
  </si>
  <si>
    <t>12 months</t>
  </si>
  <si>
    <t>Google investment $B</t>
  </si>
  <si>
    <t>Break even</t>
  </si>
  <si>
    <t>PV of cash flow in $B</t>
  </si>
  <si>
    <t>PV as at</t>
  </si>
  <si>
    <t>Number of employees (Estimated thru linkedin)</t>
  </si>
  <si>
    <t>Total 10 year NPV $B</t>
  </si>
  <si>
    <t>CPC rate conservative</t>
  </si>
  <si>
    <t>Effective AdMob share</t>
  </si>
  <si>
    <t>Assumed growth rate (Grew by 124% in 09-10)</t>
  </si>
  <si>
    <t>Total CPC revenue in $M</t>
  </si>
  <si>
    <t>Cost</t>
  </si>
  <si>
    <t>10 Year case</t>
  </si>
  <si>
    <t>Financials</t>
  </si>
  <si>
    <t>Jan</t>
  </si>
  <si>
    <t>Feb</t>
  </si>
  <si>
    <t>Mar</t>
  </si>
  <si>
    <t>Apr</t>
  </si>
  <si>
    <t>North</t>
  </si>
  <si>
    <t>South</t>
  </si>
  <si>
    <t>East</t>
  </si>
  <si>
    <t>West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</si>
  <si>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</si>
  <si>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</si>
  <si>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</si>
  <si>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</si>
  <si>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</si>
  <si>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</si>
  <si>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</si>
  <si>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</si>
  <si>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</si>
  <si>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</si>
  <si>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The real values</t>
  </si>
  <si>
    <t>CPC Revenue</t>
  </si>
  <si>
    <t>eCPM Revenue</t>
  </si>
  <si>
    <t>None</t>
  </si>
  <si>
    <t>AdMob Revenue $M</t>
  </si>
  <si>
    <t>Total 5 year NPV $B</t>
  </si>
  <si>
    <t>AdMob CPC revenue $M</t>
  </si>
  <si>
    <t>Admob eCPM revenue $M</t>
  </si>
  <si>
    <t>Total cost $M</t>
  </si>
  <si>
    <t>Net cash flow $M</t>
  </si>
  <si>
    <t>Total Revenues $M</t>
  </si>
  <si>
    <t>Revenue through eCPM $M</t>
  </si>
  <si>
    <t>eCPM rate conservative $M</t>
  </si>
  <si>
    <t>Employee cost in $M</t>
  </si>
  <si>
    <t>Rev per emp assumed thousands</t>
  </si>
  <si>
    <t>Fill rate</t>
  </si>
  <si>
    <t>Impressions served</t>
  </si>
  <si>
    <t>Mean Ad requests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</si>
</sst>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[$-409]mmm\-yy;@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%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(&quot;$&quot;* #,##0.000_);_(&quot;$&quot;* \(#,##0.000\);_(&quot;$&quot;* &quot;-&quot;??_);_(@_)"/>
    <numFmt numFmtId="180" formatCode="&quot;$&quot;#,##0"/>
    <numFmt numFmtId="181" formatCode="_(* #,##0.0_);_(* \(#,##0.0\);_(* &quot;-&quot;?_);_(@_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color indexed="5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71" fontId="4" fillId="2" borderId="1" xfId="17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168" fontId="5" fillId="0" borderId="1" xfId="15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3" borderId="1" xfId="15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71" fontId="5" fillId="4" borderId="1" xfId="17" applyNumberFormat="1" applyFont="1" applyFill="1" applyBorder="1" applyAlignment="1">
      <alignment horizontal="center"/>
    </xf>
    <xf numFmtId="171" fontId="5" fillId="5" borderId="1" xfId="17" applyNumberFormat="1" applyFont="1" applyFill="1" applyBorder="1" applyAlignment="1">
      <alignment horizontal="center"/>
    </xf>
    <xf numFmtId="9" fontId="5" fillId="0" borderId="1" xfId="21" applyFont="1" applyBorder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172" fontId="5" fillId="0" borderId="1" xfId="21" applyNumberFormat="1" applyFont="1" applyBorder="1" applyAlignment="1">
      <alignment horizontal="center"/>
    </xf>
    <xf numFmtId="44" fontId="5" fillId="0" borderId="1" xfId="17" applyFont="1" applyBorder="1" applyAlignment="1">
      <alignment horizontal="center"/>
    </xf>
    <xf numFmtId="171" fontId="5" fillId="0" borderId="1" xfId="17" applyNumberFormat="1" applyFont="1" applyBorder="1" applyAlignment="1">
      <alignment horizontal="center"/>
    </xf>
    <xf numFmtId="44" fontId="6" fillId="0" borderId="1" xfId="17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171" fontId="4" fillId="6" borderId="1" xfId="17" applyNumberFormat="1" applyFont="1" applyFill="1" applyBorder="1" applyAlignment="1">
      <alignment horizontal="center"/>
    </xf>
    <xf numFmtId="171" fontId="7" fillId="4" borderId="1" xfId="17" applyNumberFormat="1" applyFont="1" applyFill="1" applyBorder="1" applyAlignment="1">
      <alignment horizontal="center"/>
    </xf>
    <xf numFmtId="171" fontId="6" fillId="7" borderId="1" xfId="17" applyNumberFormat="1" applyFont="1" applyFill="1" applyBorder="1" applyAlignment="1">
      <alignment horizontal="center"/>
    </xf>
    <xf numFmtId="44" fontId="6" fillId="7" borderId="1" xfId="17" applyNumberFormat="1" applyFont="1" applyFill="1" applyBorder="1" applyAlignment="1">
      <alignment horizontal="center"/>
    </xf>
    <xf numFmtId="0" fontId="6" fillId="7" borderId="1" xfId="15" applyNumberFormat="1" applyFont="1" applyFill="1" applyBorder="1" applyAlignment="1">
      <alignment horizontal="center"/>
    </xf>
    <xf numFmtId="168" fontId="5" fillId="0" borderId="1" xfId="15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4" fillId="3" borderId="1" xfId="0" applyFont="1" applyFill="1" applyBorder="1" applyAlignment="1">
      <alignment wrapText="1"/>
    </xf>
    <xf numFmtId="0" fontId="6" fillId="8" borderId="1" xfId="0" applyFont="1" applyFill="1" applyBorder="1" applyAlignment="1">
      <alignment horizontal="right" wrapText="1"/>
    </xf>
    <xf numFmtId="0" fontId="6" fillId="8" borderId="1" xfId="0" applyFont="1" applyFill="1" applyBorder="1" applyAlignment="1">
      <alignment wrapText="1"/>
    </xf>
    <xf numFmtId="166" fontId="5" fillId="0" borderId="1" xfId="0" applyNumberFormat="1" applyFont="1" applyBorder="1" applyAlignment="1">
      <alignment horizontal="left" wrapText="1"/>
    </xf>
    <xf numFmtId="9" fontId="5" fillId="0" borderId="1" xfId="21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168" fontId="5" fillId="0" borderId="7" xfId="15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left" wrapText="1"/>
    </xf>
    <xf numFmtId="9" fontId="5" fillId="0" borderId="10" xfId="21" applyFont="1" applyBorder="1" applyAlignment="1">
      <alignment horizontal="center"/>
    </xf>
    <xf numFmtId="172" fontId="5" fillId="0" borderId="10" xfId="21" applyNumberFormat="1" applyFont="1" applyBorder="1" applyAlignment="1">
      <alignment horizontal="center"/>
    </xf>
    <xf numFmtId="168" fontId="5" fillId="0" borderId="10" xfId="15" applyNumberFormat="1" applyFont="1" applyBorder="1" applyAlignment="1">
      <alignment horizontal="center"/>
    </xf>
    <xf numFmtId="44" fontId="5" fillId="0" borderId="10" xfId="17" applyFont="1" applyBorder="1" applyAlignment="1">
      <alignment horizontal="center"/>
    </xf>
    <xf numFmtId="171" fontId="5" fillId="0" borderId="10" xfId="17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9" fontId="6" fillId="0" borderId="12" xfId="2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left" wrapText="1"/>
    </xf>
    <xf numFmtId="171" fontId="6" fillId="0" borderId="14" xfId="17" applyNumberFormat="1" applyFont="1" applyBorder="1" applyAlignment="1">
      <alignment horizontal="center"/>
    </xf>
    <xf numFmtId="0" fontId="6" fillId="0" borderId="6" xfId="0" applyFont="1" applyBorder="1" applyAlignment="1">
      <alignment horizontal="left" wrapText="1"/>
    </xf>
    <xf numFmtId="171" fontId="5" fillId="0" borderId="12" xfId="17" applyNumberFormat="1" applyFont="1" applyBorder="1" applyAlignment="1">
      <alignment horizontal="center"/>
    </xf>
    <xf numFmtId="168" fontId="5" fillId="0" borderId="5" xfId="15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left" wrapText="1"/>
    </xf>
    <xf numFmtId="44" fontId="6" fillId="0" borderId="10" xfId="17" applyNumberFormat="1" applyFont="1" applyBorder="1" applyAlignment="1">
      <alignment horizontal="center"/>
    </xf>
    <xf numFmtId="44" fontId="5" fillId="0" borderId="12" xfId="17" applyNumberFormat="1" applyFont="1" applyBorder="1" applyAlignment="1">
      <alignment horizontal="center"/>
    </xf>
    <xf numFmtId="44" fontId="5" fillId="0" borderId="13" xfId="17" applyNumberFormat="1" applyFont="1" applyBorder="1" applyAlignment="1">
      <alignment horizontal="center"/>
    </xf>
    <xf numFmtId="171" fontId="5" fillId="0" borderId="14" xfId="17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168" fontId="5" fillId="0" borderId="14" xfId="15" applyNumberFormat="1" applyFont="1" applyBorder="1" applyAlignment="1">
      <alignment horizontal="center"/>
    </xf>
    <xf numFmtId="168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9" fontId="5" fillId="0" borderId="16" xfId="21" applyFont="1" applyBorder="1" applyAlignment="1">
      <alignment horizontal="center"/>
    </xf>
    <xf numFmtId="9" fontId="5" fillId="0" borderId="17" xfId="21" applyFont="1" applyBorder="1" applyAlignment="1">
      <alignment horizontal="center"/>
    </xf>
    <xf numFmtId="44" fontId="0" fillId="0" borderId="0" xfId="17" applyAlignment="1">
      <alignment/>
    </xf>
    <xf numFmtId="9" fontId="5" fillId="0" borderId="1" xfId="21" applyFont="1" applyBorder="1" applyAlignment="1">
      <alignment horizontal="left"/>
    </xf>
    <xf numFmtId="44" fontId="5" fillId="0" borderId="12" xfId="17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435"/>
          <c:w val="0.9515"/>
          <c:h val="0.95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Sheet2!$C$36</c:f>
              <c:strCache>
                <c:ptCount val="1"/>
                <c:pt idx="0">
                  <c:v>CPC Revenue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Sheet2!$B$37:$B$52</c:f>
              <c:numCach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Sheet2!$C$37:$C$52</c:f>
              <c:numCache>
                <c:ptCount val="16"/>
                <c:pt idx="1">
                  <c:v>46.6336047118736</c:v>
                </c:pt>
                <c:pt idx="4">
                  <c:v>80.83158150058091</c:v>
                </c:pt>
                <c:pt idx="7">
                  <c:v>136.79190715482923</c:v>
                </c:pt>
                <c:pt idx="10">
                  <c:v>201.45717235529395</c:v>
                </c:pt>
                <c:pt idx="13">
                  <c:v>250.70225893103256</c:v>
                </c:pt>
              </c:numCache>
            </c:numRef>
          </c:val>
        </c:ser>
        <c:ser>
          <c:idx val="2"/>
          <c:order val="1"/>
          <c:tx>
            <c:strRef>
              <c:f>Sheet2!$D$36</c:f>
              <c:strCache>
                <c:ptCount val="1"/>
                <c:pt idx="0">
                  <c:v>eCPM Revenue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Sheet2!$B$37:$B$52</c:f>
              <c:numCach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Sheet2!$D$37:$D$52</c:f>
              <c:numCache>
                <c:ptCount val="16"/>
                <c:pt idx="1">
                  <c:v>18.70019236566362</c:v>
                </c:pt>
                <c:pt idx="4">
                  <c:v>32.72533663991133</c:v>
                </c:pt>
                <c:pt idx="7">
                  <c:v>56.10057709699087</c:v>
                </c:pt>
                <c:pt idx="10">
                  <c:v>84.15086564548628</c:v>
                </c:pt>
                <c:pt idx="13">
                  <c:v>134.64138503277806</c:v>
                </c:pt>
              </c:numCache>
            </c:numRef>
          </c:val>
        </c:ser>
        <c:ser>
          <c:idx val="3"/>
          <c:order val="2"/>
          <c:tx>
            <c:strRef>
              <c:f>Sheet2!$E$36</c:f>
              <c:strCache>
                <c:ptCount val="1"/>
                <c:pt idx="0">
                  <c:v>Cost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Sheet2!$B$37:$B$52</c:f>
              <c:numCach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Sheet2!$E$37:$E$52</c:f>
              <c:numCache>
                <c:ptCount val="16"/>
                <c:pt idx="2">
                  <c:v>25.73755642448436</c:v>
                </c:pt>
                <c:pt idx="5">
                  <c:v>42.66987227097284</c:v>
                </c:pt>
                <c:pt idx="8">
                  <c:v>64.2974947506067</c:v>
                </c:pt>
                <c:pt idx="11">
                  <c:v>80.2422582954573</c:v>
                </c:pt>
                <c:pt idx="14">
                  <c:v>91.74848665805015</c:v>
                </c:pt>
              </c:numCache>
            </c:numRef>
          </c:val>
        </c:ser>
        <c:overlap val="100"/>
        <c:gapWidth val="0"/>
        <c:serLines>
          <c:spPr>
            <a:ln w="3175">
              <a:solidFill/>
            </a:ln>
          </c:spPr>
        </c:serLines>
        <c:axId val="26880123"/>
        <c:axId val="40594516"/>
      </c:barChart>
      <c:catAx>
        <c:axId val="268801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0594516"/>
        <c:crosses val="autoZero"/>
        <c:auto val="1"/>
        <c:lblOffset val="100"/>
        <c:noMultiLvlLbl val="0"/>
      </c:catAx>
      <c:valAx>
        <c:axId val="40594516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268801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825"/>
          <c:y val="0.192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425"/>
          <c:w val="0.96725"/>
          <c:h val="0.83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Sheet2!$C$36</c:f>
              <c:strCache>
                <c:ptCount val="1"/>
                <c:pt idx="0">
                  <c:v>CPC Revenue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Sheet2!$B$37:$B$52</c:f>
              <c:numCach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Sheet2!$C$37:$C$52</c:f>
              <c:numCache>
                <c:ptCount val="16"/>
                <c:pt idx="1">
                  <c:v>84.78837220340654</c:v>
                </c:pt>
                <c:pt idx="4">
                  <c:v>146.96651181923804</c:v>
                </c:pt>
                <c:pt idx="7">
                  <c:v>248.7125584633259</c:v>
                </c:pt>
                <c:pt idx="10">
                  <c:v>366.2857679187163</c:v>
                </c:pt>
                <c:pt idx="13">
                  <c:v>455.8222889655138</c:v>
                </c:pt>
              </c:numCache>
            </c:numRef>
          </c:val>
        </c:ser>
        <c:ser>
          <c:idx val="2"/>
          <c:order val="1"/>
          <c:tx>
            <c:strRef>
              <c:f>Sheet2!$D$36</c:f>
              <c:strCache>
                <c:ptCount val="1"/>
                <c:pt idx="0">
                  <c:v>eCPM Revenue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Sheet2!$B$37:$B$52</c:f>
              <c:numCach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Sheet2!$D$37:$D$52</c:f>
              <c:numCache>
                <c:ptCount val="16"/>
                <c:pt idx="1">
                  <c:v>34.00034975575203</c:v>
                </c:pt>
                <c:pt idx="4">
                  <c:v>59.50061207256606</c:v>
                </c:pt>
                <c:pt idx="7">
                  <c:v>102.0010492672561</c:v>
                </c:pt>
                <c:pt idx="10">
                  <c:v>153.00157390088418</c:v>
                </c:pt>
                <c:pt idx="13">
                  <c:v>244.80251824141467</c:v>
                </c:pt>
              </c:numCache>
            </c:numRef>
          </c:val>
        </c:ser>
        <c:ser>
          <c:idx val="3"/>
          <c:order val="2"/>
          <c:tx>
            <c:strRef>
              <c:f>Sheet2!$E$36</c:f>
              <c:strCache>
                <c:ptCount val="1"/>
                <c:pt idx="0">
                  <c:v>Cost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Sheet2!$B$37:$B$52</c:f>
              <c:numCache>
                <c:ptCount val="16"/>
                <c:pt idx="1">
                  <c:v>2010</c:v>
                </c:pt>
                <c:pt idx="4">
                  <c:v>2011</c:v>
                </c:pt>
                <c:pt idx="7">
                  <c:v>2012</c:v>
                </c:pt>
                <c:pt idx="10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Sheet2!$E$37:$E$52</c:f>
              <c:numCache>
                <c:ptCount val="16"/>
                <c:pt idx="2">
                  <c:v>41.2520834439987</c:v>
                </c:pt>
                <c:pt idx="5">
                  <c:v>67.94645349893915</c:v>
                </c:pt>
                <c:pt idx="8">
                  <c:v>100.53790088276683</c:v>
                </c:pt>
                <c:pt idx="11">
                  <c:v>121.66160579773498</c:v>
                </c:pt>
                <c:pt idx="14">
                  <c:v>134.1196059510406</c:v>
                </c:pt>
              </c:numCache>
            </c:numRef>
          </c:val>
        </c:ser>
        <c:overlap val="100"/>
        <c:gapWidth val="0"/>
        <c:serLines>
          <c:spPr>
            <a:ln w="3175">
              <a:solidFill/>
            </a:ln>
          </c:spPr>
        </c:serLines>
        <c:axId val="29806325"/>
        <c:axId val="66930334"/>
      </c:barChart>
      <c:catAx>
        <c:axId val="298063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6930334"/>
        <c:crosses val="autoZero"/>
        <c:auto val="1"/>
        <c:lblOffset val="100"/>
        <c:noMultiLvlLbl val="0"/>
      </c:catAx>
      <c:valAx>
        <c:axId val="66930334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298063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425"/>
          <c:y val="0.205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2</xdr:row>
      <xdr:rowOff>95250</xdr:rowOff>
    </xdr:from>
    <xdr:to>
      <xdr:col>6</xdr:col>
      <xdr:colOff>971550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2295525" y="400050"/>
        <a:ext cx="40100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15</xdr:row>
      <xdr:rowOff>9525</xdr:rowOff>
    </xdr:from>
    <xdr:to>
      <xdr:col>15</xdr:col>
      <xdr:colOff>419100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3676650" y="2438400"/>
        <a:ext cx="58864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5"/>
  <sheetViews>
    <sheetView tabSelected="1" workbookViewId="0" topLeftCell="A1">
      <pane xSplit="3" ySplit="2" topLeftCell="D3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61" sqref="C61"/>
    </sheetView>
  </sheetViews>
  <sheetFormatPr defaultColWidth="9.140625" defaultRowHeight="12.75"/>
  <cols>
    <col min="1" max="1" width="3.140625" style="2" customWidth="1"/>
    <col min="2" max="2" width="26.8515625" style="23" customWidth="1"/>
    <col min="3" max="3" width="1.8515625" style="23" customWidth="1"/>
    <col min="4" max="4" width="15.57421875" style="3" bestFit="1" customWidth="1"/>
    <col min="5" max="5" width="15.57421875" style="4" bestFit="1" customWidth="1"/>
    <col min="6" max="11" width="17.00390625" style="4" bestFit="1" customWidth="1"/>
    <col min="12" max="14" width="18.140625" style="4" bestFit="1" customWidth="1"/>
    <col min="15" max="16384" width="9.140625" style="4" customWidth="1"/>
  </cols>
  <sheetData>
    <row r="1" ht="12">
      <c r="B1" s="22" t="s">
        <v>43</v>
      </c>
    </row>
    <row r="2" spans="4:14" ht="12">
      <c r="D2" s="5">
        <v>2010</v>
      </c>
      <c r="E2" s="6">
        <v>2011</v>
      </c>
      <c r="F2" s="5">
        <v>2012</v>
      </c>
      <c r="G2" s="6">
        <v>2013</v>
      </c>
      <c r="H2" s="5">
        <v>2014</v>
      </c>
      <c r="I2" s="6">
        <v>2015</v>
      </c>
      <c r="J2" s="5">
        <v>2016</v>
      </c>
      <c r="K2" s="6">
        <v>2017</v>
      </c>
      <c r="L2" s="5">
        <v>2018</v>
      </c>
      <c r="M2" s="5">
        <v>2019</v>
      </c>
      <c r="N2" s="6">
        <v>2020</v>
      </c>
    </row>
    <row r="3" spans="4:24" ht="12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4:24" ht="12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4:24" ht="12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4:24" ht="12"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4:24" ht="12">
      <c r="D7" s="2"/>
      <c r="E7" s="2"/>
      <c r="F7" s="2"/>
      <c r="G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4:24" ht="12">
      <c r="D8" s="2"/>
      <c r="E8" s="2"/>
      <c r="F8" s="2"/>
      <c r="G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4:24" ht="12">
      <c r="D9" s="2"/>
      <c r="E9" s="2"/>
      <c r="F9" s="2"/>
      <c r="G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4:24" ht="12">
      <c r="D10" s="2"/>
      <c r="E10" s="2"/>
      <c r="F10" s="2"/>
      <c r="G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4:24" ht="12"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4:24" ht="12"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4:24" ht="12"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4:24" ht="12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4:24" ht="12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4:24" ht="12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4:24" ht="12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4:24" ht="12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2">
      <c r="B19" s="26" t="s">
        <v>37</v>
      </c>
      <c r="C19" s="26"/>
      <c r="D19" s="19">
        <f>SUM(D60:N60)</f>
        <v>6.200464934744275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2">
      <c r="B20" s="24" t="s">
        <v>68</v>
      </c>
      <c r="C20" s="24"/>
      <c r="D20" s="19">
        <f>SUM(D61:H61)</f>
        <v>1.5716410719633882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2">
      <c r="B21" s="26" t="s">
        <v>32</v>
      </c>
      <c r="C21" s="26"/>
      <c r="D21" s="20">
        <v>0.75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2">
      <c r="B22" s="24" t="s">
        <v>33</v>
      </c>
      <c r="C22" s="24"/>
      <c r="D22" s="21">
        <v>2014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4:24" ht="12">
      <c r="D23" s="5">
        <v>2010</v>
      </c>
      <c r="E23" s="6">
        <v>2011</v>
      </c>
      <c r="F23" s="5">
        <v>2012</v>
      </c>
      <c r="G23" s="6">
        <v>2013</v>
      </c>
      <c r="H23" s="5">
        <v>2014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14" ht="12">
      <c r="B24" s="23" t="s">
        <v>79</v>
      </c>
      <c r="D24" s="3">
        <f>$D$31*D32</f>
        <v>155834936380.53003</v>
      </c>
      <c r="E24" s="10">
        <f>$D$24*(1+$E$35)</f>
        <v>311669872761.06006</v>
      </c>
      <c r="F24" s="10">
        <f>E24*(1+$F$35)</f>
        <v>623339745522.1201</v>
      </c>
      <c r="G24" s="10">
        <f>F24*(1+$G$35)</f>
        <v>1122011541939.8162</v>
      </c>
      <c r="H24" s="10">
        <f>G24*(1+$H$35)</f>
        <v>1795218467103.706</v>
      </c>
      <c r="I24" s="10">
        <f>H24*(1+$I$35)</f>
        <v>2513305853945.1885</v>
      </c>
      <c r="J24" s="10">
        <f>I24*(1+$J$35)</f>
        <v>3518628195523.2637</v>
      </c>
      <c r="K24" s="10">
        <f>J24*(1+$K$35)</f>
        <v>4926079473732.568</v>
      </c>
      <c r="L24" s="10">
        <f>K24*(1+$L$35)</f>
        <v>6896511263225.596</v>
      </c>
      <c r="M24" s="10">
        <f>L24*(1+$M$35)</f>
        <v>9655115768515.834</v>
      </c>
      <c r="N24" s="10">
        <f>M24*(1+$N$35)</f>
        <v>13517162075922.166</v>
      </c>
    </row>
    <row r="25" spans="2:14" ht="12">
      <c r="B25" s="24" t="s">
        <v>67</v>
      </c>
      <c r="C25" s="24"/>
      <c r="D25" s="1">
        <f aca="true" t="shared" si="0" ref="D25:N25">$D$49*D48</f>
        <v>65.33379707753721</v>
      </c>
      <c r="E25" s="1">
        <f t="shared" si="0"/>
        <v>113.55691814049224</v>
      </c>
      <c r="F25" s="1">
        <f t="shared" si="0"/>
        <v>192.8924842518201</v>
      </c>
      <c r="G25" s="1">
        <f t="shared" si="0"/>
        <v>285.60803800078025</v>
      </c>
      <c r="H25" s="1">
        <f t="shared" si="0"/>
        <v>385.3436439638106</v>
      </c>
      <c r="I25" s="1">
        <f t="shared" si="0"/>
        <v>439.20019797692186</v>
      </c>
      <c r="J25" s="1">
        <f t="shared" si="0"/>
        <v>614.8802771676905</v>
      </c>
      <c r="K25" s="1">
        <f t="shared" si="0"/>
        <v>860.8323880347666</v>
      </c>
      <c r="L25" s="1">
        <f t="shared" si="0"/>
        <v>1205.1653432486733</v>
      </c>
      <c r="M25" s="1">
        <f t="shared" si="0"/>
        <v>1687.2314805481428</v>
      </c>
      <c r="N25" s="1">
        <f t="shared" si="0"/>
        <v>2362.1240727673994</v>
      </c>
    </row>
    <row r="26" spans="2:14" ht="12">
      <c r="B26" s="25" t="s">
        <v>69</v>
      </c>
      <c r="C26" s="25"/>
      <c r="D26" s="7">
        <f aca="true" t="shared" si="1" ref="D26:N26">$D$49*D42</f>
        <v>46.6336047118736</v>
      </c>
      <c r="E26" s="7">
        <f t="shared" si="1"/>
        <v>80.83158150058091</v>
      </c>
      <c r="F26" s="7">
        <f t="shared" si="1"/>
        <v>136.79190715482923</v>
      </c>
      <c r="G26" s="7">
        <f t="shared" si="1"/>
        <v>201.45717235529395</v>
      </c>
      <c r="H26" s="7">
        <f t="shared" si="1"/>
        <v>250.70225893103256</v>
      </c>
      <c r="I26" s="7">
        <f t="shared" si="1"/>
        <v>250.70225893103256</v>
      </c>
      <c r="J26" s="7">
        <f t="shared" si="1"/>
        <v>350.9831625034455</v>
      </c>
      <c r="K26" s="7">
        <f t="shared" si="1"/>
        <v>491.37642750482365</v>
      </c>
      <c r="L26" s="7">
        <f t="shared" si="1"/>
        <v>687.9269985067532</v>
      </c>
      <c r="M26" s="7">
        <f t="shared" si="1"/>
        <v>963.0977979094546</v>
      </c>
      <c r="N26" s="7">
        <f t="shared" si="1"/>
        <v>1348.336917073236</v>
      </c>
    </row>
    <row r="27" spans="2:14" ht="12">
      <c r="B27" s="25" t="s">
        <v>70</v>
      </c>
      <c r="C27" s="25"/>
      <c r="D27" s="8">
        <f aca="true" t="shared" si="2" ref="D27:N27">$D$49*D46</f>
        <v>18.70019236566362</v>
      </c>
      <c r="E27" s="8">
        <f t="shared" si="2"/>
        <v>32.72533663991133</v>
      </c>
      <c r="F27" s="8">
        <f t="shared" si="2"/>
        <v>56.10057709699087</v>
      </c>
      <c r="G27" s="8">
        <f t="shared" si="2"/>
        <v>84.15086564548628</v>
      </c>
      <c r="H27" s="8">
        <f t="shared" si="2"/>
        <v>134.64138503277806</v>
      </c>
      <c r="I27" s="8">
        <f t="shared" si="2"/>
        <v>188.49793904588927</v>
      </c>
      <c r="J27" s="8">
        <f t="shared" si="2"/>
        <v>263.897114664245</v>
      </c>
      <c r="K27" s="8">
        <f t="shared" si="2"/>
        <v>369.4559605299429</v>
      </c>
      <c r="L27" s="8">
        <f t="shared" si="2"/>
        <v>517.2383447419202</v>
      </c>
      <c r="M27" s="8">
        <f t="shared" si="2"/>
        <v>724.1336826386882</v>
      </c>
      <c r="N27" s="8">
        <f t="shared" si="2"/>
        <v>1013.7871556941632</v>
      </c>
    </row>
    <row r="28" spans="2:14" ht="12">
      <c r="B28" s="26" t="s">
        <v>71</v>
      </c>
      <c r="C28" s="26"/>
      <c r="D28" s="17">
        <f aca="true" t="shared" si="3" ref="D28:N28">SUM(D54:D55)</f>
        <v>25.73755642448436</v>
      </c>
      <c r="E28" s="17">
        <f t="shared" si="3"/>
        <v>42.66987227097284</v>
      </c>
      <c r="F28" s="17">
        <f t="shared" si="3"/>
        <v>64.2974947506067</v>
      </c>
      <c r="G28" s="17">
        <f t="shared" si="3"/>
        <v>80.2422582954573</v>
      </c>
      <c r="H28" s="17">
        <f t="shared" si="3"/>
        <v>91.74848665805015</v>
      </c>
      <c r="I28" s="17">
        <f t="shared" si="3"/>
        <v>104.57147570879093</v>
      </c>
      <c r="J28" s="17">
        <f t="shared" si="3"/>
        <v>146.40006599230725</v>
      </c>
      <c r="K28" s="17">
        <f t="shared" si="3"/>
        <v>204.96009238923014</v>
      </c>
      <c r="L28" s="17">
        <f t="shared" si="3"/>
        <v>286.9441293449222</v>
      </c>
      <c r="M28" s="17">
        <f t="shared" si="3"/>
        <v>401.72178108289114</v>
      </c>
      <c r="N28" s="17">
        <f t="shared" si="3"/>
        <v>562.4104935160475</v>
      </c>
    </row>
    <row r="29" spans="2:14" ht="12">
      <c r="B29" s="24" t="s">
        <v>72</v>
      </c>
      <c r="C29" s="24"/>
      <c r="D29" s="18">
        <f aca="true" t="shared" si="4" ref="D29:N29">D25-D28</f>
        <v>39.59624065305285</v>
      </c>
      <c r="E29" s="18">
        <f t="shared" si="4"/>
        <v>70.8870458695194</v>
      </c>
      <c r="F29" s="18">
        <f t="shared" si="4"/>
        <v>128.59498950121338</v>
      </c>
      <c r="G29" s="18">
        <f t="shared" si="4"/>
        <v>205.36577970532295</v>
      </c>
      <c r="H29" s="18">
        <f t="shared" si="4"/>
        <v>293.5951573057605</v>
      </c>
      <c r="I29" s="18">
        <f t="shared" si="4"/>
        <v>334.6287222681309</v>
      </c>
      <c r="J29" s="18">
        <f t="shared" si="4"/>
        <v>468.4802111753832</v>
      </c>
      <c r="K29" s="18">
        <f t="shared" si="4"/>
        <v>655.8722956455365</v>
      </c>
      <c r="L29" s="18">
        <f t="shared" si="4"/>
        <v>918.221213903751</v>
      </c>
      <c r="M29" s="18">
        <f t="shared" si="4"/>
        <v>1285.5096994652517</v>
      </c>
      <c r="N29" s="18">
        <f t="shared" si="4"/>
        <v>1799.7135792513518</v>
      </c>
    </row>
    <row r="30" spans="2:4" ht="12">
      <c r="B30" s="4"/>
      <c r="C30" s="4"/>
      <c r="D30" s="4"/>
    </row>
    <row r="31" spans="2:24" ht="12">
      <c r="B31" s="23" t="s">
        <v>78</v>
      </c>
      <c r="D31" s="71">
        <v>0.55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14" ht="12">
      <c r="B32" s="23" t="s">
        <v>80</v>
      </c>
      <c r="D32" s="3">
        <f>($D$93*(1+$D$35)+$D$93)/2*12</f>
        <v>283336247964.60004</v>
      </c>
      <c r="E32" s="10">
        <f>$D$24*(1+$E$35)</f>
        <v>311669872761.06006</v>
      </c>
      <c r="F32" s="10">
        <f>E32*(1+$F$35)</f>
        <v>623339745522.1201</v>
      </c>
      <c r="G32" s="10">
        <f>F32*(1+$G$35)</f>
        <v>1122011541939.8162</v>
      </c>
      <c r="H32" s="10">
        <f>G32*(1+$H$35)</f>
        <v>1795218467103.706</v>
      </c>
      <c r="I32" s="10">
        <f>H32*(1+$I$35)</f>
        <v>2513305853945.1885</v>
      </c>
      <c r="J32" s="10">
        <f>I32*(1+$J$35)</f>
        <v>3518628195523.2637</v>
      </c>
      <c r="K32" s="10">
        <f>J32*(1+$K$35)</f>
        <v>4926079473732.568</v>
      </c>
      <c r="L32" s="10">
        <f>K32*(1+$L$35)</f>
        <v>6896511263225.596</v>
      </c>
      <c r="M32" s="10">
        <f>L32*(1+$M$35)</f>
        <v>9655115768515.834</v>
      </c>
      <c r="N32" s="10">
        <f>M32*(1+$N$35)</f>
        <v>13517162075922.166</v>
      </c>
    </row>
    <row r="33" spans="4:24" ht="12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2.75" thickBot="1">
      <c r="B34" s="31"/>
      <c r="C34" s="31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15" ht="24.75" thickBot="1">
      <c r="A35" s="29"/>
      <c r="B35" s="66" t="s">
        <v>40</v>
      </c>
      <c r="C35" s="67"/>
      <c r="D35" s="68">
        <v>1.1</v>
      </c>
      <c r="E35" s="68">
        <v>1</v>
      </c>
      <c r="F35" s="68">
        <v>1</v>
      </c>
      <c r="G35" s="68">
        <v>0.8</v>
      </c>
      <c r="H35" s="68">
        <v>0.6</v>
      </c>
      <c r="I35" s="68">
        <v>0.4</v>
      </c>
      <c r="J35" s="68">
        <v>0.4</v>
      </c>
      <c r="K35" s="68">
        <v>0.4</v>
      </c>
      <c r="L35" s="68">
        <v>0.4</v>
      </c>
      <c r="M35" s="68">
        <v>0.4</v>
      </c>
      <c r="N35" s="69">
        <v>0.4</v>
      </c>
      <c r="O35" s="30"/>
    </row>
    <row r="36" spans="2:14" ht="12.75" thickBot="1">
      <c r="B36" s="52"/>
      <c r="C36" s="52"/>
      <c r="D36" s="64"/>
      <c r="E36" s="65"/>
      <c r="F36" s="65"/>
      <c r="G36" s="65"/>
      <c r="H36" s="65"/>
      <c r="I36" s="65"/>
      <c r="J36" s="65"/>
      <c r="K36" s="65"/>
      <c r="L36" s="65"/>
      <c r="M36" s="65"/>
      <c r="N36" s="65"/>
    </row>
    <row r="37" spans="1:15" ht="12">
      <c r="A37" s="29"/>
      <c r="B37" s="33" t="s">
        <v>23</v>
      </c>
      <c r="C37" s="34"/>
      <c r="D37" s="35"/>
      <c r="E37" s="36"/>
      <c r="F37" s="36"/>
      <c r="G37" s="36"/>
      <c r="H37" s="36"/>
      <c r="I37" s="36"/>
      <c r="J37" s="36"/>
      <c r="K37" s="36"/>
      <c r="L37" s="36"/>
      <c r="M37" s="36"/>
      <c r="N37" s="37"/>
      <c r="O37" s="30"/>
    </row>
    <row r="38" spans="1:15" ht="12">
      <c r="A38" s="29"/>
      <c r="B38" s="38" t="s">
        <v>20</v>
      </c>
      <c r="D38" s="9">
        <v>0.95</v>
      </c>
      <c r="E38" s="9">
        <v>0.95</v>
      </c>
      <c r="F38" s="9">
        <v>0.95</v>
      </c>
      <c r="G38" s="9">
        <v>0.95</v>
      </c>
      <c r="H38" s="9">
        <v>0.95</v>
      </c>
      <c r="I38" s="9">
        <v>0.95</v>
      </c>
      <c r="J38" s="9">
        <v>0.95</v>
      </c>
      <c r="K38" s="9">
        <v>0.95</v>
      </c>
      <c r="L38" s="9">
        <v>0.95</v>
      </c>
      <c r="M38" s="9">
        <v>0.95</v>
      </c>
      <c r="N38" s="39">
        <v>0.95</v>
      </c>
      <c r="O38" s="30"/>
    </row>
    <row r="39" spans="1:15" ht="12">
      <c r="A39" s="29"/>
      <c r="B39" s="38" t="s">
        <v>24</v>
      </c>
      <c r="D39" s="11">
        <v>0.007</v>
      </c>
      <c r="E39" s="11">
        <v>0.007</v>
      </c>
      <c r="F39" s="11">
        <v>0.007</v>
      </c>
      <c r="G39" s="11">
        <v>0.007</v>
      </c>
      <c r="H39" s="11">
        <v>0.007</v>
      </c>
      <c r="I39" s="11">
        <v>0.007</v>
      </c>
      <c r="J39" s="11">
        <v>0.007</v>
      </c>
      <c r="K39" s="11">
        <v>0.007</v>
      </c>
      <c r="L39" s="11">
        <v>0.007</v>
      </c>
      <c r="M39" s="11">
        <v>0.007</v>
      </c>
      <c r="N39" s="40">
        <v>0.007</v>
      </c>
      <c r="O39" s="30"/>
    </row>
    <row r="40" spans="1:15" ht="12">
      <c r="A40" s="29"/>
      <c r="B40" s="38" t="s">
        <v>25</v>
      </c>
      <c r="D40" s="3">
        <f>D39*D38*D24</f>
        <v>1036302326.9305246</v>
      </c>
      <c r="E40" s="3">
        <f>E39*E38*E24</f>
        <v>2072604653.8610492</v>
      </c>
      <c r="F40" s="3">
        <f>F39*F38*F24</f>
        <v>4145209307.7220984</v>
      </c>
      <c r="G40" s="3">
        <f>G39*G38*G24</f>
        <v>7461376753.899777</v>
      </c>
      <c r="H40" s="3">
        <f>H39*H38*H24</f>
        <v>11938202806.239645</v>
      </c>
      <c r="I40" s="3">
        <f>I39*I38*I24</f>
        <v>16713483928.735502</v>
      </c>
      <c r="J40" s="3">
        <f>J39*J38*J24</f>
        <v>23398877500.229702</v>
      </c>
      <c r="K40" s="3">
        <f>K39*K38*K24</f>
        <v>32758428500.32158</v>
      </c>
      <c r="L40" s="3">
        <f>L39*L38*L24</f>
        <v>45861799900.45021</v>
      </c>
      <c r="M40" s="3">
        <f>M39*M38*M24</f>
        <v>64206519860.630295</v>
      </c>
      <c r="N40" s="41">
        <f>N39*N38*N24</f>
        <v>89889127804.8824</v>
      </c>
      <c r="O40" s="30"/>
    </row>
    <row r="41" spans="1:15" ht="12">
      <c r="A41" s="29"/>
      <c r="B41" s="38" t="s">
        <v>38</v>
      </c>
      <c r="D41" s="12">
        <v>0.15</v>
      </c>
      <c r="E41" s="12">
        <v>0.13</v>
      </c>
      <c r="F41" s="12">
        <v>0.11</v>
      </c>
      <c r="G41" s="12">
        <v>0.09</v>
      </c>
      <c r="H41" s="12">
        <v>0.07</v>
      </c>
      <c r="I41" s="12">
        <v>0.05</v>
      </c>
      <c r="J41" s="12">
        <v>0.05</v>
      </c>
      <c r="K41" s="12">
        <v>0.05</v>
      </c>
      <c r="L41" s="12">
        <v>0.05</v>
      </c>
      <c r="M41" s="12">
        <v>0.05</v>
      </c>
      <c r="N41" s="42">
        <v>0.05</v>
      </c>
      <c r="O41" s="30"/>
    </row>
    <row r="42" spans="1:15" ht="12">
      <c r="A42" s="29"/>
      <c r="B42" s="38" t="s">
        <v>41</v>
      </c>
      <c r="D42" s="13">
        <f>D41*D40/1000000</f>
        <v>155.44534903957867</v>
      </c>
      <c r="E42" s="13">
        <f aca="true" t="shared" si="5" ref="E42:N42">E41*E40/1000000</f>
        <v>269.43860500193637</v>
      </c>
      <c r="F42" s="13">
        <f t="shared" si="5"/>
        <v>455.9730238494308</v>
      </c>
      <c r="G42" s="13">
        <f t="shared" si="5"/>
        <v>671.5239078509799</v>
      </c>
      <c r="H42" s="13">
        <f t="shared" si="5"/>
        <v>835.6741964367752</v>
      </c>
      <c r="I42" s="13">
        <f t="shared" si="5"/>
        <v>835.6741964367752</v>
      </c>
      <c r="J42" s="13">
        <f t="shared" si="5"/>
        <v>1169.943875011485</v>
      </c>
      <c r="K42" s="13">
        <f t="shared" si="5"/>
        <v>1637.921425016079</v>
      </c>
      <c r="L42" s="13">
        <f t="shared" si="5"/>
        <v>2293.0899950225107</v>
      </c>
      <c r="M42" s="13">
        <f t="shared" si="5"/>
        <v>3210.3259930315153</v>
      </c>
      <c r="N42" s="43">
        <f t="shared" si="5"/>
        <v>4494.4563902441205</v>
      </c>
      <c r="O42" s="30"/>
    </row>
    <row r="43" spans="1:15" ht="12">
      <c r="A43" s="29"/>
      <c r="B43" s="38"/>
      <c r="N43" s="44"/>
      <c r="O43" s="30"/>
    </row>
    <row r="44" spans="1:15" ht="12">
      <c r="A44" s="29"/>
      <c r="B44" s="38" t="s">
        <v>21</v>
      </c>
      <c r="D44" s="9">
        <f>1-D38</f>
        <v>0.050000000000000044</v>
      </c>
      <c r="E44" s="9">
        <f aca="true" t="shared" si="6" ref="E44:N44">1-E38</f>
        <v>0.050000000000000044</v>
      </c>
      <c r="F44" s="9">
        <f t="shared" si="6"/>
        <v>0.050000000000000044</v>
      </c>
      <c r="G44" s="9">
        <f t="shared" si="6"/>
        <v>0.050000000000000044</v>
      </c>
      <c r="H44" s="9">
        <f t="shared" si="6"/>
        <v>0.050000000000000044</v>
      </c>
      <c r="I44" s="9">
        <f t="shared" si="6"/>
        <v>0.050000000000000044</v>
      </c>
      <c r="J44" s="9">
        <f t="shared" si="6"/>
        <v>0.050000000000000044</v>
      </c>
      <c r="K44" s="9">
        <f t="shared" si="6"/>
        <v>0.050000000000000044</v>
      </c>
      <c r="L44" s="9">
        <f t="shared" si="6"/>
        <v>0.050000000000000044</v>
      </c>
      <c r="M44" s="9">
        <f t="shared" si="6"/>
        <v>0.050000000000000044</v>
      </c>
      <c r="N44" s="39">
        <f t="shared" si="6"/>
        <v>0.050000000000000044</v>
      </c>
      <c r="O44" s="30"/>
    </row>
    <row r="45" spans="1:15" ht="12">
      <c r="A45" s="29"/>
      <c r="B45" s="38" t="s">
        <v>75</v>
      </c>
      <c r="D45" s="13">
        <v>8</v>
      </c>
      <c r="E45" s="13">
        <v>7</v>
      </c>
      <c r="F45" s="13">
        <v>6</v>
      </c>
      <c r="G45" s="13">
        <v>5</v>
      </c>
      <c r="H45" s="13">
        <v>5</v>
      </c>
      <c r="I45" s="13">
        <v>5</v>
      </c>
      <c r="J45" s="13">
        <v>5</v>
      </c>
      <c r="K45" s="13">
        <v>5</v>
      </c>
      <c r="L45" s="13">
        <v>5</v>
      </c>
      <c r="M45" s="13">
        <v>5</v>
      </c>
      <c r="N45" s="43">
        <v>5</v>
      </c>
      <c r="O45" s="30"/>
    </row>
    <row r="46" spans="1:15" ht="12">
      <c r="A46" s="29"/>
      <c r="B46" s="38" t="s">
        <v>74</v>
      </c>
      <c r="D46" s="3">
        <f>(D44*D24/1000*D45)/1000000</f>
        <v>62.33397455221207</v>
      </c>
      <c r="E46" s="3">
        <f>(E44*E24/1000*E45)/1000000</f>
        <v>109.08445546637112</v>
      </c>
      <c r="F46" s="3">
        <f>(F44*F24/1000*F45)/1000000</f>
        <v>187.00192365663622</v>
      </c>
      <c r="G46" s="3">
        <f>(G44*G24/1000*G45)/1000000</f>
        <v>280.5028854849543</v>
      </c>
      <c r="H46" s="3">
        <f>(H44*H24/1000*H45)/1000000</f>
        <v>448.8046167759269</v>
      </c>
      <c r="I46" s="3">
        <f>(I44*I24/1000*I45)/1000000</f>
        <v>628.3264634862976</v>
      </c>
      <c r="J46" s="3">
        <f>(J44*J24/1000*J45)/1000000</f>
        <v>879.6570488808167</v>
      </c>
      <c r="K46" s="3">
        <f>(K44*K24/1000*K45)/1000000</f>
        <v>1231.519868433143</v>
      </c>
      <c r="L46" s="3">
        <f>(L44*L24/1000*L45)/1000000</f>
        <v>1724.1278158064006</v>
      </c>
      <c r="M46" s="3">
        <f>(M44*M24/1000*M45)/1000000</f>
        <v>2413.778942128961</v>
      </c>
      <c r="N46" s="41">
        <f>(N44*N24/1000*N45)/1000000</f>
        <v>3379.290518980544</v>
      </c>
      <c r="O46" s="30"/>
    </row>
    <row r="47" spans="1:15" ht="12">
      <c r="A47" s="29"/>
      <c r="B47" s="38"/>
      <c r="N47" s="44"/>
      <c r="O47" s="30"/>
    </row>
    <row r="48" spans="1:15" ht="12">
      <c r="A48" s="29"/>
      <c r="B48" s="38" t="s">
        <v>73</v>
      </c>
      <c r="D48" s="13">
        <f>D46+D42</f>
        <v>217.77932359179073</v>
      </c>
      <c r="E48" s="13">
        <f aca="true" t="shared" si="7" ref="E48:N48">E46+E42</f>
        <v>378.5230604683075</v>
      </c>
      <c r="F48" s="13">
        <f t="shared" si="7"/>
        <v>642.974947506067</v>
      </c>
      <c r="G48" s="13">
        <f t="shared" si="7"/>
        <v>952.0267933359341</v>
      </c>
      <c r="H48" s="13">
        <f t="shared" si="7"/>
        <v>1284.478813212702</v>
      </c>
      <c r="I48" s="13">
        <f t="shared" si="7"/>
        <v>1464.0006599230728</v>
      </c>
      <c r="J48" s="13">
        <f t="shared" si="7"/>
        <v>2049.6009238923016</v>
      </c>
      <c r="K48" s="13">
        <f t="shared" si="7"/>
        <v>2869.441293449222</v>
      </c>
      <c r="L48" s="13">
        <f t="shared" si="7"/>
        <v>4017.2178108289113</v>
      </c>
      <c r="M48" s="13">
        <f t="shared" si="7"/>
        <v>5624.104935160476</v>
      </c>
      <c r="N48" s="43">
        <f t="shared" si="7"/>
        <v>7873.746909224665</v>
      </c>
      <c r="O48" s="30"/>
    </row>
    <row r="49" spans="1:15" ht="12.75" thickBot="1">
      <c r="A49" s="29"/>
      <c r="B49" s="45" t="s">
        <v>39</v>
      </c>
      <c r="C49" s="46"/>
      <c r="D49" s="47">
        <v>0.3</v>
      </c>
      <c r="E49" s="48"/>
      <c r="F49" s="48"/>
      <c r="G49" s="48"/>
      <c r="H49" s="48"/>
      <c r="I49" s="48"/>
      <c r="J49" s="48"/>
      <c r="K49" s="48"/>
      <c r="L49" s="48"/>
      <c r="M49" s="48"/>
      <c r="N49" s="49"/>
      <c r="O49" s="30"/>
    </row>
    <row r="50" spans="2:14" ht="12.75" thickBot="1">
      <c r="B50" s="51"/>
      <c r="C50" s="52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</row>
    <row r="51" spans="1:15" ht="12">
      <c r="A51" s="29"/>
      <c r="B51" s="54" t="s">
        <v>42</v>
      </c>
      <c r="C51" s="34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7"/>
      <c r="O51" s="30"/>
    </row>
    <row r="52" spans="1:15" ht="24">
      <c r="A52" s="29"/>
      <c r="B52" s="38" t="s">
        <v>36</v>
      </c>
      <c r="D52" s="3">
        <f>D25/D56*1000</f>
        <v>118.78872195915858</v>
      </c>
      <c r="E52" s="3">
        <f>E25/E56*1000</f>
        <v>206.46712389180408</v>
      </c>
      <c r="F52" s="3">
        <f>F25/F56*1000</f>
        <v>321.4874737530335</v>
      </c>
      <c r="G52" s="3">
        <f>G25/G56*1000</f>
        <v>408.0114828582575</v>
      </c>
      <c r="H52" s="3">
        <f>H25/H56*1000</f>
        <v>550.4909199483009</v>
      </c>
      <c r="I52" s="3">
        <f>I25/I56*1000</f>
        <v>627.4288542527455</v>
      </c>
      <c r="J52" s="3">
        <f>J25/J56*1000</f>
        <v>878.4003959538435</v>
      </c>
      <c r="K52" s="3">
        <f>K25/K56*1000</f>
        <v>1229.760554335381</v>
      </c>
      <c r="L52" s="3">
        <f>L25/L56*1000</f>
        <v>1721.6647760695332</v>
      </c>
      <c r="M52" s="3">
        <f>M25/M56*1000</f>
        <v>2410.330686497347</v>
      </c>
      <c r="N52" s="41">
        <f>N25/N56*1000</f>
        <v>3374.462961096285</v>
      </c>
      <c r="O52" s="30"/>
    </row>
    <row r="53" spans="1:15" ht="24">
      <c r="A53" s="29"/>
      <c r="B53" s="38" t="s">
        <v>22</v>
      </c>
      <c r="D53" s="13">
        <v>180</v>
      </c>
      <c r="E53" s="13">
        <v>170</v>
      </c>
      <c r="F53" s="13">
        <v>160</v>
      </c>
      <c r="G53" s="13">
        <v>150</v>
      </c>
      <c r="H53" s="13">
        <v>120</v>
      </c>
      <c r="I53" s="13">
        <v>120</v>
      </c>
      <c r="J53" s="13">
        <v>120</v>
      </c>
      <c r="K53" s="13">
        <v>120</v>
      </c>
      <c r="L53" s="13">
        <v>120</v>
      </c>
      <c r="M53" s="13">
        <v>120</v>
      </c>
      <c r="N53" s="43">
        <v>120</v>
      </c>
      <c r="O53" s="30"/>
    </row>
    <row r="54" spans="1:15" ht="12">
      <c r="A54" s="29"/>
      <c r="B54" s="38" t="s">
        <v>76</v>
      </c>
      <c r="D54" s="13">
        <f>D53*D52/1000</f>
        <v>21.381969952648546</v>
      </c>
      <c r="E54" s="13">
        <f>E53*E52/1000</f>
        <v>35.09941106160669</v>
      </c>
      <c r="F54" s="13">
        <f aca="true" t="shared" si="8" ref="E54:N54">F53*F52/1000</f>
        <v>51.43799580048536</v>
      </c>
      <c r="G54" s="13">
        <f t="shared" si="8"/>
        <v>61.20172242873863</v>
      </c>
      <c r="H54" s="13">
        <f t="shared" si="8"/>
        <v>66.05891039379611</v>
      </c>
      <c r="I54" s="13">
        <f t="shared" si="8"/>
        <v>75.29146251032947</v>
      </c>
      <c r="J54" s="13">
        <f t="shared" si="8"/>
        <v>105.40804751446122</v>
      </c>
      <c r="K54" s="13">
        <f t="shared" si="8"/>
        <v>147.5712665202457</v>
      </c>
      <c r="L54" s="13">
        <f t="shared" si="8"/>
        <v>206.59977312834397</v>
      </c>
      <c r="M54" s="13">
        <f t="shared" si="8"/>
        <v>289.2396823796816</v>
      </c>
      <c r="N54" s="43">
        <f t="shared" si="8"/>
        <v>404.9355553315542</v>
      </c>
      <c r="O54" s="30"/>
    </row>
    <row r="55" spans="1:15" ht="12.75" thickBot="1">
      <c r="A55" s="50"/>
      <c r="B55" s="45" t="s">
        <v>29</v>
      </c>
      <c r="C55" s="46"/>
      <c r="D55" s="55">
        <f>0.02*D48</f>
        <v>4.355586471835815</v>
      </c>
      <c r="E55" s="55">
        <f aca="true" t="shared" si="9" ref="E55:N55">0.02*E48</f>
        <v>7.57046120936615</v>
      </c>
      <c r="F55" s="55">
        <f t="shared" si="9"/>
        <v>12.85949895012134</v>
      </c>
      <c r="G55" s="55">
        <f t="shared" si="9"/>
        <v>19.040535866718685</v>
      </c>
      <c r="H55" s="55">
        <f t="shared" si="9"/>
        <v>25.689576264254043</v>
      </c>
      <c r="I55" s="55">
        <f t="shared" si="9"/>
        <v>29.280013198461457</v>
      </c>
      <c r="J55" s="55">
        <f t="shared" si="9"/>
        <v>40.99201847784603</v>
      </c>
      <c r="K55" s="55">
        <f t="shared" si="9"/>
        <v>57.38882586898444</v>
      </c>
      <c r="L55" s="55">
        <f t="shared" si="9"/>
        <v>80.34435621657823</v>
      </c>
      <c r="M55" s="55">
        <f t="shared" si="9"/>
        <v>112.48209870320953</v>
      </c>
      <c r="N55" s="55">
        <f t="shared" si="9"/>
        <v>157.4749381844933</v>
      </c>
      <c r="O55" s="30"/>
    </row>
    <row r="56" spans="2:14" ht="24">
      <c r="B56" s="52" t="s">
        <v>77</v>
      </c>
      <c r="C56" s="52"/>
      <c r="D56" s="62">
        <v>550</v>
      </c>
      <c r="E56" s="62">
        <v>550</v>
      </c>
      <c r="F56" s="62">
        <v>600</v>
      </c>
      <c r="G56" s="62">
        <v>700</v>
      </c>
      <c r="H56" s="62">
        <v>700</v>
      </c>
      <c r="I56" s="62">
        <v>700</v>
      </c>
      <c r="J56" s="62">
        <v>700</v>
      </c>
      <c r="K56" s="62">
        <v>700</v>
      </c>
      <c r="L56" s="62">
        <v>700</v>
      </c>
      <c r="M56" s="62">
        <v>700</v>
      </c>
      <c r="N56" s="62">
        <v>700</v>
      </c>
    </row>
    <row r="57" ht="12.75" thickBot="1"/>
    <row r="58" spans="1:15" ht="12">
      <c r="A58" s="29"/>
      <c r="B58" s="58" t="s">
        <v>44</v>
      </c>
      <c r="C58" s="34"/>
      <c r="D58" s="35"/>
      <c r="E58" s="36"/>
      <c r="F58" s="36"/>
      <c r="G58" s="36"/>
      <c r="H58" s="36"/>
      <c r="I58" s="36"/>
      <c r="J58" s="36"/>
      <c r="K58" s="36"/>
      <c r="L58" s="36"/>
      <c r="M58" s="36"/>
      <c r="N58" s="37"/>
      <c r="O58" s="30"/>
    </row>
    <row r="59" spans="1:15" ht="12">
      <c r="A59" s="29"/>
      <c r="B59" s="38" t="s">
        <v>30</v>
      </c>
      <c r="D59" s="9">
        <v>0.15</v>
      </c>
      <c r="N59" s="44"/>
      <c r="O59" s="30"/>
    </row>
    <row r="60" spans="1:15" ht="12">
      <c r="A60" s="29"/>
      <c r="B60" s="38" t="s">
        <v>34</v>
      </c>
      <c r="D60" s="14">
        <f aca="true" t="shared" si="10" ref="D60:N60">D29/1000</f>
        <v>0.03959624065305285</v>
      </c>
      <c r="E60" s="14">
        <f t="shared" si="10"/>
        <v>0.0708870458695194</v>
      </c>
      <c r="F60" s="14">
        <f t="shared" si="10"/>
        <v>0.12859498950121337</v>
      </c>
      <c r="G60" s="14">
        <f t="shared" si="10"/>
        <v>0.20536577970532294</v>
      </c>
      <c r="H60" s="14">
        <f t="shared" si="10"/>
        <v>0.29359515730576047</v>
      </c>
      <c r="I60" s="14">
        <f t="shared" si="10"/>
        <v>0.3346287222681309</v>
      </c>
      <c r="J60" s="14">
        <f t="shared" si="10"/>
        <v>0.4684802111753832</v>
      </c>
      <c r="K60" s="14">
        <f t="shared" si="10"/>
        <v>0.6558722956455365</v>
      </c>
      <c r="L60" s="14">
        <f t="shared" si="10"/>
        <v>0.918221213903751</v>
      </c>
      <c r="M60" s="14">
        <f t="shared" si="10"/>
        <v>1.2855096994652517</v>
      </c>
      <c r="N60" s="59">
        <f t="shared" si="10"/>
        <v>1.799713579251352</v>
      </c>
      <c r="O60" s="30"/>
    </row>
    <row r="61" spans="1:15" ht="12.75" thickBot="1">
      <c r="A61" s="29"/>
      <c r="B61" s="45" t="s">
        <v>35</v>
      </c>
      <c r="C61" s="46"/>
      <c r="D61" s="60">
        <f>D60</f>
        <v>0.03959624065305285</v>
      </c>
      <c r="E61" s="60">
        <f>D61+E60</f>
        <v>0.11048328652257225</v>
      </c>
      <c r="F61" s="60">
        <f aca="true" t="shared" si="11" ref="F61:N61">E61+F60</f>
        <v>0.23907827602378562</v>
      </c>
      <c r="G61" s="72">
        <f t="shared" si="11"/>
        <v>0.44444405572910856</v>
      </c>
      <c r="H61" s="60">
        <f t="shared" si="11"/>
        <v>0.738039213034869</v>
      </c>
      <c r="I61" s="60">
        <f t="shared" si="11"/>
        <v>1.072667935303</v>
      </c>
      <c r="J61" s="60">
        <f t="shared" si="11"/>
        <v>1.5411481464783832</v>
      </c>
      <c r="K61" s="60">
        <f t="shared" si="11"/>
        <v>2.19702044212392</v>
      </c>
      <c r="L61" s="60">
        <f t="shared" si="11"/>
        <v>3.115241656027671</v>
      </c>
      <c r="M61" s="60">
        <f t="shared" si="11"/>
        <v>4.400751355492923</v>
      </c>
      <c r="N61" s="61">
        <f t="shared" si="11"/>
        <v>6.200464934744275</v>
      </c>
      <c r="O61" s="30"/>
    </row>
    <row r="62" spans="2:14" ht="12">
      <c r="B62" s="32"/>
      <c r="C62" s="32"/>
      <c r="D62" s="56"/>
      <c r="E62" s="57"/>
      <c r="F62" s="57"/>
      <c r="G62" s="57"/>
      <c r="H62" s="57"/>
      <c r="I62" s="57"/>
      <c r="J62" s="57"/>
      <c r="K62" s="57"/>
      <c r="L62" s="57"/>
      <c r="M62" s="57"/>
      <c r="N62" s="57"/>
    </row>
    <row r="67" spans="2:13" ht="12">
      <c r="B67" s="27"/>
      <c r="C67" s="27"/>
      <c r="D67" s="15">
        <v>40179</v>
      </c>
      <c r="E67" s="15">
        <v>40148</v>
      </c>
      <c r="F67" s="15">
        <v>40118</v>
      </c>
      <c r="G67" s="15">
        <v>40087</v>
      </c>
      <c r="H67" s="15">
        <v>40057</v>
      </c>
      <c r="I67" s="15">
        <v>40026</v>
      </c>
      <c r="J67" s="15"/>
      <c r="K67" s="15">
        <v>39904</v>
      </c>
      <c r="L67" s="15">
        <v>39814</v>
      </c>
      <c r="M67" s="15"/>
    </row>
    <row r="68" ht="36">
      <c r="C68" s="23" t="s">
        <v>26</v>
      </c>
    </row>
    <row r="69" spans="2:13" ht="12">
      <c r="B69" s="23" t="s">
        <v>0</v>
      </c>
      <c r="C69" s="28">
        <f>D69/$D$82</f>
        <v>0.480861655965115</v>
      </c>
      <c r="D69" s="3">
        <v>7325028892</v>
      </c>
      <c r="E69" s="16">
        <v>5545002921</v>
      </c>
      <c r="F69" s="16">
        <v>5146420640</v>
      </c>
      <c r="G69" s="16">
        <v>4983422755</v>
      </c>
      <c r="H69" s="16">
        <v>4837350568</v>
      </c>
      <c r="I69" s="16">
        <v>4916045264</v>
      </c>
      <c r="K69" s="16">
        <v>3538714000</v>
      </c>
      <c r="L69" s="16">
        <v>2947907701</v>
      </c>
      <c r="M69" s="9">
        <f aca="true" t="shared" si="12" ref="M69:M78">D69/L69-1</f>
        <v>1.4848230117636239</v>
      </c>
    </row>
    <row r="70" spans="3:13" ht="12">
      <c r="C70" s="28"/>
      <c r="E70" s="16"/>
      <c r="F70" s="16"/>
      <c r="G70" s="16"/>
      <c r="H70" s="16"/>
      <c r="I70" s="16"/>
      <c r="K70" s="16"/>
      <c r="L70" s="16"/>
      <c r="M70" s="9"/>
    </row>
    <row r="71" spans="3:13" ht="12">
      <c r="C71" s="28"/>
      <c r="E71" s="16"/>
      <c r="F71" s="16"/>
      <c r="G71" s="16"/>
      <c r="H71" s="16"/>
      <c r="I71" s="16"/>
      <c r="K71" s="16"/>
      <c r="L71" s="16"/>
      <c r="M71" s="9"/>
    </row>
    <row r="72" spans="2:13" ht="12">
      <c r="B72" s="23" t="s">
        <v>1</v>
      </c>
      <c r="C72" s="28">
        <f aca="true" t="shared" si="13" ref="C72:C83">D72/$D$82</f>
        <v>0.05106043995827721</v>
      </c>
      <c r="D72" s="3">
        <v>777810402</v>
      </c>
      <c r="E72" s="16">
        <v>627319269</v>
      </c>
      <c r="F72" s="16">
        <v>501896670</v>
      </c>
      <c r="G72" s="16">
        <v>596822962</v>
      </c>
      <c r="H72" s="16">
        <v>668295912</v>
      </c>
      <c r="I72" s="16">
        <v>657912897</v>
      </c>
      <c r="K72" s="16">
        <v>447079855</v>
      </c>
      <c r="L72" s="16">
        <v>451102391</v>
      </c>
      <c r="M72" s="9">
        <f t="shared" si="12"/>
        <v>0.7242435808769632</v>
      </c>
    </row>
    <row r="73" spans="2:13" ht="12">
      <c r="B73" s="23" t="s">
        <v>2</v>
      </c>
      <c r="C73" s="28">
        <f t="shared" si="13"/>
        <v>0.0412556968618447</v>
      </c>
      <c r="D73" s="3">
        <v>628453460</v>
      </c>
      <c r="E73" s="16">
        <v>485976668</v>
      </c>
      <c r="F73" s="16">
        <v>418452216</v>
      </c>
      <c r="G73" s="16">
        <v>420494978</v>
      </c>
      <c r="H73" s="16">
        <v>343586095</v>
      </c>
      <c r="I73" s="16">
        <v>428182285</v>
      </c>
      <c r="K73" s="16">
        <v>254014870</v>
      </c>
      <c r="L73" s="16">
        <v>253737396</v>
      </c>
      <c r="M73" s="9">
        <f t="shared" si="12"/>
        <v>1.4767869060971996</v>
      </c>
    </row>
    <row r="74" spans="2:13" ht="12">
      <c r="B74" s="23" t="s">
        <v>3</v>
      </c>
      <c r="C74" s="28">
        <f t="shared" si="13"/>
        <v>0.040951755681644</v>
      </c>
      <c r="D74" s="3">
        <v>623823484</v>
      </c>
      <c r="E74" s="16">
        <v>446677144</v>
      </c>
      <c r="F74" s="16">
        <v>390375576</v>
      </c>
      <c r="G74" s="16">
        <v>395994176</v>
      </c>
      <c r="H74" s="16">
        <v>485450779</v>
      </c>
      <c r="I74" s="16">
        <v>580525136</v>
      </c>
      <c r="K74" s="16">
        <v>813863841</v>
      </c>
      <c r="L74" s="16">
        <v>1103254870</v>
      </c>
      <c r="M74" s="9">
        <f t="shared" si="12"/>
        <v>-0.4345608608099777</v>
      </c>
    </row>
    <row r="75" spans="2:13" ht="12">
      <c r="B75" s="23" t="s">
        <v>4</v>
      </c>
      <c r="C75" s="28">
        <f t="shared" si="13"/>
        <v>0.03229390381192315</v>
      </c>
      <c r="D75" s="3">
        <v>491937287</v>
      </c>
      <c r="E75" s="16">
        <v>332531128</v>
      </c>
      <c r="F75" s="16">
        <v>236812773</v>
      </c>
      <c r="G75" s="16">
        <v>245680222</v>
      </c>
      <c r="H75" s="16">
        <v>224065266</v>
      </c>
      <c r="I75" s="16">
        <v>195600724</v>
      </c>
      <c r="K75" s="16">
        <v>168366971</v>
      </c>
      <c r="L75" s="16">
        <v>96129695</v>
      </c>
      <c r="M75" s="9">
        <f t="shared" si="12"/>
        <v>4.1174331407168205</v>
      </c>
    </row>
    <row r="76" spans="2:13" ht="12">
      <c r="B76" s="23" t="s">
        <v>5</v>
      </c>
      <c r="C76" s="28">
        <f t="shared" si="13"/>
        <v>0.023166370646018047</v>
      </c>
      <c r="D76" s="3">
        <v>352896373</v>
      </c>
      <c r="E76" s="16">
        <v>264572444</v>
      </c>
      <c r="F76" s="16">
        <v>215663310</v>
      </c>
      <c r="G76" s="16">
        <v>201704118</v>
      </c>
      <c r="H76" s="16">
        <v>139919371</v>
      </c>
      <c r="I76" s="16">
        <v>145036856</v>
      </c>
      <c r="K76" s="16">
        <v>94083136</v>
      </c>
      <c r="L76" s="16">
        <v>0</v>
      </c>
      <c r="M76" s="9"/>
    </row>
    <row r="77" spans="2:13" ht="12">
      <c r="B77" s="23" t="s">
        <v>6</v>
      </c>
      <c r="C77" s="28">
        <f t="shared" si="13"/>
        <v>0.0197944103484448</v>
      </c>
      <c r="D77" s="3">
        <v>301530858</v>
      </c>
      <c r="E77" s="16">
        <v>253889139</v>
      </c>
      <c r="F77" s="16">
        <v>201948842</v>
      </c>
      <c r="G77" s="16">
        <v>193872412</v>
      </c>
      <c r="H77" s="16">
        <v>250394087</v>
      </c>
      <c r="I77" s="16">
        <v>235987573</v>
      </c>
      <c r="K77" s="16">
        <v>93927678</v>
      </c>
      <c r="L77" s="16">
        <v>0</v>
      </c>
      <c r="M77" s="9"/>
    </row>
    <row r="78" spans="2:13" ht="12">
      <c r="B78" s="23" t="s">
        <v>7</v>
      </c>
      <c r="C78" s="28">
        <f t="shared" si="13"/>
        <v>0.01896015680659112</v>
      </c>
      <c r="D78" s="3">
        <v>288822564</v>
      </c>
      <c r="E78" s="16">
        <v>219269837</v>
      </c>
      <c r="F78" s="16">
        <v>151109202</v>
      </c>
      <c r="G78" s="16">
        <v>188646745</v>
      </c>
      <c r="H78" s="16">
        <v>134782109</v>
      </c>
      <c r="I78" s="16">
        <v>0</v>
      </c>
      <c r="K78" s="16">
        <v>125325923</v>
      </c>
      <c r="L78" s="16">
        <v>123198113</v>
      </c>
      <c r="M78" s="9">
        <f t="shared" si="12"/>
        <v>1.3443749012616775</v>
      </c>
    </row>
    <row r="79" spans="2:13" ht="12">
      <c r="B79" s="23" t="s">
        <v>8</v>
      </c>
      <c r="C79" s="28">
        <f t="shared" si="13"/>
        <v>0.016072310490851702</v>
      </c>
      <c r="D79" s="3">
        <v>244831621</v>
      </c>
      <c r="E79" s="16">
        <v>188077237</v>
      </c>
      <c r="F79" s="16">
        <v>146079525</v>
      </c>
      <c r="G79" s="16">
        <v>163257697</v>
      </c>
      <c r="H79" s="16">
        <v>320899154</v>
      </c>
      <c r="I79" s="16">
        <v>405580983</v>
      </c>
      <c r="K79" s="16">
        <v>298303054</v>
      </c>
      <c r="L79" s="16">
        <v>192903228</v>
      </c>
      <c r="M79" s="9">
        <f>D79/L79-1</f>
        <v>0.269194007474048</v>
      </c>
    </row>
    <row r="80" spans="2:13" ht="12">
      <c r="B80" s="23" t="s">
        <v>9</v>
      </c>
      <c r="C80" s="28">
        <f t="shared" si="13"/>
        <v>0.015856269030432392</v>
      </c>
      <c r="D80" s="3">
        <v>241540633</v>
      </c>
      <c r="E80" s="16">
        <v>175692271</v>
      </c>
      <c r="F80" s="16">
        <v>121254737</v>
      </c>
      <c r="G80" s="16">
        <v>142869060</v>
      </c>
      <c r="H80" s="16">
        <v>0</v>
      </c>
      <c r="I80" s="16">
        <v>0</v>
      </c>
      <c r="K80" s="16">
        <v>0</v>
      </c>
      <c r="L80" s="16">
        <v>0</v>
      </c>
      <c r="M80" s="9"/>
    </row>
    <row r="81" spans="2:13" ht="12">
      <c r="B81" s="23" t="s">
        <v>10</v>
      </c>
      <c r="C81" s="28">
        <f t="shared" si="13"/>
        <v>0.25972703039885786</v>
      </c>
      <c r="D81" s="3">
        <v>3956456037</v>
      </c>
      <c r="E81" s="16">
        <v>2953962377</v>
      </c>
      <c r="F81" s="16">
        <v>2226373615</v>
      </c>
      <c r="G81" s="16">
        <v>2656659148</v>
      </c>
      <c r="H81" s="4">
        <f>2654661405+175186648</f>
        <v>2829848053</v>
      </c>
      <c r="I81" s="4">
        <f>2680680912+160766174+162813540</f>
        <v>3004260626</v>
      </c>
      <c r="K81" s="4">
        <f>99635571+1601958002</f>
        <v>1701593573</v>
      </c>
      <c r="L81" s="16">
        <f>93849327+83948854+76394648+1369736224</f>
        <v>1623929053</v>
      </c>
      <c r="M81" s="9"/>
    </row>
    <row r="82" spans="2:13" ht="12">
      <c r="B82" s="23" t="s">
        <v>19</v>
      </c>
      <c r="C82" s="28">
        <f t="shared" si="13"/>
        <v>1</v>
      </c>
      <c r="D82" s="3">
        <f aca="true" t="shared" si="14" ref="D82:I82">SUM(D69:D81)</f>
        <v>15233131611</v>
      </c>
      <c r="E82" s="3">
        <f t="shared" si="14"/>
        <v>11492970435</v>
      </c>
      <c r="F82" s="3">
        <f t="shared" si="14"/>
        <v>9756387106</v>
      </c>
      <c r="G82" s="3">
        <f t="shared" si="14"/>
        <v>10189424273</v>
      </c>
      <c r="H82" s="3">
        <f t="shared" si="14"/>
        <v>10234591394</v>
      </c>
      <c r="I82" s="3">
        <f t="shared" si="14"/>
        <v>10569132344</v>
      </c>
      <c r="J82" s="9"/>
      <c r="K82" s="3">
        <f>SUM(K69:K81)</f>
        <v>7535272901</v>
      </c>
      <c r="L82" s="3">
        <f>SUM(L69:L81)</f>
        <v>6792162447</v>
      </c>
      <c r="M82" s="9">
        <f>D82/L82-1</f>
        <v>1.2427513667209555</v>
      </c>
    </row>
    <row r="83" spans="2:13" ht="12">
      <c r="B83" s="23" t="s">
        <v>28</v>
      </c>
      <c r="C83" s="28">
        <f t="shared" si="13"/>
        <v>2.1363324337089442E-11</v>
      </c>
      <c r="D83" s="9">
        <f>D82/E82-1</f>
        <v>0.3254303312753628</v>
      </c>
      <c r="E83" s="9">
        <f>E82/F82-1</f>
        <v>0.17799450863650468</v>
      </c>
      <c r="F83" s="9">
        <f>F82/G82-1</f>
        <v>-0.04249868838492321</v>
      </c>
      <c r="G83" s="9">
        <f>G82/H82-1</f>
        <v>-0.004413182633405288</v>
      </c>
      <c r="H83" s="9">
        <f>H82/I82-1</f>
        <v>-0.031652640832898205</v>
      </c>
      <c r="I83" s="9"/>
      <c r="J83" s="9"/>
      <c r="K83" s="3"/>
      <c r="L83" s="3"/>
      <c r="M83" s="9"/>
    </row>
    <row r="85" spans="2:13" ht="12">
      <c r="B85" s="23" t="s">
        <v>11</v>
      </c>
      <c r="D85" s="3">
        <v>7817419515</v>
      </c>
      <c r="E85" s="16">
        <v>5877856788</v>
      </c>
      <c r="F85" s="16">
        <v>5362308618</v>
      </c>
      <c r="G85" s="16">
        <v>5229372140</v>
      </c>
      <c r="H85" s="16">
        <v>5061729655</v>
      </c>
      <c r="I85" s="16">
        <v>5111905025</v>
      </c>
      <c r="K85" s="16">
        <v>3707273534</v>
      </c>
      <c r="L85" s="16">
        <v>3085954505</v>
      </c>
      <c r="M85" s="9">
        <f aca="true" t="shared" si="15" ref="M85:M93">D85/L85-1</f>
        <v>1.533225782277046</v>
      </c>
    </row>
    <row r="86" spans="2:13" ht="12">
      <c r="B86" s="23" t="s">
        <v>12</v>
      </c>
      <c r="D86" s="3">
        <v>3211115114</v>
      </c>
      <c r="E86" s="16">
        <v>2444090287</v>
      </c>
      <c r="F86" s="16">
        <v>1912282553</v>
      </c>
      <c r="G86" s="16">
        <v>2294718205</v>
      </c>
      <c r="H86" s="16">
        <v>2587237763</v>
      </c>
      <c r="I86" s="16">
        <v>2702543647</v>
      </c>
      <c r="K86" s="4">
        <v>2206105880</v>
      </c>
      <c r="L86" s="16">
        <v>2306803879</v>
      </c>
      <c r="M86" s="9">
        <f t="shared" si="15"/>
        <v>0.39201912361618674</v>
      </c>
    </row>
    <row r="87" spans="2:13" ht="12">
      <c r="B87" s="23" t="s">
        <v>13</v>
      </c>
      <c r="D87" s="3">
        <v>1811840247</v>
      </c>
      <c r="E87" s="16">
        <v>1345709456</v>
      </c>
      <c r="F87" s="16">
        <v>1181421324</v>
      </c>
      <c r="G87" s="16">
        <v>1142010234</v>
      </c>
      <c r="H87" s="16">
        <v>964863326</v>
      </c>
      <c r="I87" s="16">
        <v>1019104695</v>
      </c>
      <c r="K87" s="16">
        <v>645994709</v>
      </c>
      <c r="L87" s="16">
        <v>549992641</v>
      </c>
      <c r="M87" s="9">
        <f t="shared" si="15"/>
        <v>2.2942990722670413</v>
      </c>
    </row>
    <row r="88" spans="2:13" ht="12">
      <c r="B88" s="23" t="s">
        <v>14</v>
      </c>
      <c r="D88" s="3">
        <v>746432235</v>
      </c>
      <c r="E88" s="16">
        <v>645597427</v>
      </c>
      <c r="F88" s="16">
        <v>450246671</v>
      </c>
      <c r="G88" s="16">
        <v>497263497</v>
      </c>
      <c r="H88" s="16">
        <v>544449825</v>
      </c>
      <c r="I88" s="16">
        <v>682623514</v>
      </c>
      <c r="K88" s="16">
        <v>376774577</v>
      </c>
      <c r="L88" s="16">
        <v>360872339</v>
      </c>
      <c r="M88" s="9">
        <f t="shared" si="15"/>
        <v>1.0684107766985154</v>
      </c>
    </row>
    <row r="89" spans="2:13" ht="12">
      <c r="B89" s="23" t="s">
        <v>15</v>
      </c>
      <c r="D89" s="3">
        <v>640323493</v>
      </c>
      <c r="E89" s="16">
        <v>478844468</v>
      </c>
      <c r="F89" s="16">
        <v>287569804</v>
      </c>
      <c r="G89" s="16">
        <v>434789464</v>
      </c>
      <c r="H89" s="16">
        <v>508253849</v>
      </c>
      <c r="I89" s="16">
        <v>464970951</v>
      </c>
      <c r="K89" s="16">
        <v>235319029</v>
      </c>
      <c r="L89" s="16">
        <v>129946649</v>
      </c>
      <c r="M89" s="9">
        <f t="shared" si="15"/>
        <v>3.927587574805411</v>
      </c>
    </row>
    <row r="90" spans="2:13" ht="12">
      <c r="B90" s="23" t="s">
        <v>16</v>
      </c>
      <c r="D90" s="3">
        <v>294799875</v>
      </c>
      <c r="E90" s="16">
        <v>235684884</v>
      </c>
      <c r="F90" s="16">
        <v>219510725</v>
      </c>
      <c r="G90" s="16">
        <v>205449558</v>
      </c>
      <c r="H90" s="16">
        <v>197592033</v>
      </c>
      <c r="I90" s="16">
        <v>195781971</v>
      </c>
      <c r="K90" s="16">
        <v>142650560</v>
      </c>
      <c r="L90" s="16">
        <v>183126216</v>
      </c>
      <c r="M90" s="9">
        <f t="shared" si="15"/>
        <v>0.6098179793110561</v>
      </c>
    </row>
    <row r="91" spans="2:13" ht="12">
      <c r="B91" s="23" t="s">
        <v>17</v>
      </c>
      <c r="D91" s="3">
        <v>264856089</v>
      </c>
      <c r="E91" s="16">
        <v>206953293</v>
      </c>
      <c r="F91" s="16">
        <v>159576480</v>
      </c>
      <c r="G91" s="16">
        <v>153363016</v>
      </c>
      <c r="H91" s="16">
        <v>136305988</v>
      </c>
      <c r="I91" s="16">
        <v>144506994</v>
      </c>
      <c r="K91" s="16">
        <v>85541331</v>
      </c>
      <c r="L91" s="16">
        <v>62075457</v>
      </c>
      <c r="M91" s="9">
        <f t="shared" si="15"/>
        <v>3.266679647642385</v>
      </c>
    </row>
    <row r="92" spans="2:13" ht="12">
      <c r="B92" s="23" t="s">
        <v>18</v>
      </c>
      <c r="D92" s="3">
        <v>446345043</v>
      </c>
      <c r="E92" s="16">
        <v>258233832</v>
      </c>
      <c r="F92" s="16">
        <v>183470931</v>
      </c>
      <c r="G92" s="16">
        <v>232458159</v>
      </c>
      <c r="H92" s="16">
        <v>234158955</v>
      </c>
      <c r="I92" s="16">
        <v>247695547</v>
      </c>
      <c r="K92" s="16">
        <v>135613281</v>
      </c>
      <c r="L92" s="16">
        <v>113390761</v>
      </c>
      <c r="M92" s="9">
        <f t="shared" si="15"/>
        <v>2.936344011307941</v>
      </c>
    </row>
    <row r="93" spans="2:13" ht="12">
      <c r="B93" s="23" t="s">
        <v>19</v>
      </c>
      <c r="D93" s="3">
        <f aca="true" t="shared" si="16" ref="D93:I93">SUM(D85:D92)</f>
        <v>15233131611</v>
      </c>
      <c r="E93" s="3">
        <f t="shared" si="16"/>
        <v>11492970435</v>
      </c>
      <c r="F93" s="3">
        <f t="shared" si="16"/>
        <v>9756387106</v>
      </c>
      <c r="G93" s="3">
        <f t="shared" si="16"/>
        <v>10189424273</v>
      </c>
      <c r="H93" s="3">
        <f t="shared" si="16"/>
        <v>10234591394</v>
      </c>
      <c r="I93" s="3">
        <f t="shared" si="16"/>
        <v>10569132344</v>
      </c>
      <c r="K93" s="3">
        <f>SUM(K85:K92)</f>
        <v>7535272901</v>
      </c>
      <c r="L93" s="3">
        <f>SUM(L85:L92)</f>
        <v>6792162447</v>
      </c>
      <c r="M93" s="9">
        <f t="shared" si="15"/>
        <v>1.2427513667209555</v>
      </c>
    </row>
    <row r="94" spans="2:13" ht="12">
      <c r="B94" s="23" t="s">
        <v>31</v>
      </c>
      <c r="D94" s="3">
        <f>D93*12</f>
        <v>182797579332</v>
      </c>
      <c r="E94" s="3"/>
      <c r="F94" s="3"/>
      <c r="G94" s="3"/>
      <c r="H94" s="3"/>
      <c r="I94" s="3"/>
      <c r="K94" s="3"/>
      <c r="L94" s="3"/>
      <c r="M94" s="9"/>
    </row>
    <row r="95" spans="2:4" ht="12">
      <c r="B95" s="23" t="s">
        <v>27</v>
      </c>
      <c r="D95" s="3">
        <v>160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1"/>
  <sheetViews>
    <sheetView workbookViewId="0" topLeftCell="A1">
      <selection activeCell="R25" sqref="R25"/>
    </sheetView>
  </sheetViews>
  <sheetFormatPr defaultColWidth="9.140625" defaultRowHeight="12.75"/>
  <sheetData>
    <row r="2" spans="2:5" ht="12.75">
      <c r="B2" t="s">
        <v>45</v>
      </c>
      <c r="C2" t="s">
        <v>46</v>
      </c>
      <c r="D2" t="s">
        <v>47</v>
      </c>
      <c r="E2" t="s">
        <v>48</v>
      </c>
    </row>
    <row r="3" spans="2:5" ht="12.75">
      <c r="B3">
        <v>0</v>
      </c>
      <c r="C3">
        <v>0</v>
      </c>
      <c r="D3">
        <v>0</v>
      </c>
      <c r="E3">
        <v>0</v>
      </c>
    </row>
    <row r="5" ht="12.75">
      <c r="A5" t="s">
        <v>63</v>
      </c>
    </row>
    <row r="6" spans="3:6" ht="12.75">
      <c r="C6" t="s">
        <v>49</v>
      </c>
      <c r="D6" t="s">
        <v>50</v>
      </c>
      <c r="E6" t="s">
        <v>51</v>
      </c>
      <c r="F6" t="s">
        <v>52</v>
      </c>
    </row>
    <row r="8" spans="2:4" ht="12.75">
      <c r="B8" t="s">
        <v>53</v>
      </c>
      <c r="C8">
        <v>1</v>
      </c>
      <c r="D8">
        <v>3</v>
      </c>
    </row>
    <row r="9" spans="2:6" ht="12.75">
      <c r="B9" t="s">
        <v>54</v>
      </c>
      <c r="E9">
        <v>3</v>
      </c>
      <c r="F9">
        <v>2</v>
      </c>
    </row>
    <row r="11" spans="2:4" ht="12.75">
      <c r="B11" t="s">
        <v>55</v>
      </c>
      <c r="C11">
        <v>2</v>
      </c>
      <c r="D11">
        <v>3</v>
      </c>
    </row>
    <row r="12" spans="2:6" ht="12.75">
      <c r="B12" t="s">
        <v>56</v>
      </c>
      <c r="E12">
        <v>3</v>
      </c>
      <c r="F12">
        <v>3</v>
      </c>
    </row>
    <row r="14" spans="2:4" ht="12.75">
      <c r="B14" t="s">
        <v>57</v>
      </c>
      <c r="C14">
        <v>3</v>
      </c>
      <c r="D14">
        <v>3</v>
      </c>
    </row>
    <row r="15" spans="2:6" ht="12.75">
      <c r="B15" t="s">
        <v>58</v>
      </c>
      <c r="E15">
        <v>2</v>
      </c>
      <c r="F15">
        <v>2</v>
      </c>
    </row>
    <row r="17" spans="2:4" ht="12.75">
      <c r="B17" t="s">
        <v>59</v>
      </c>
      <c r="C17">
        <v>4</v>
      </c>
      <c r="D17">
        <v>3</v>
      </c>
    </row>
    <row r="18" spans="2:6" ht="12.75">
      <c r="B18" t="s">
        <v>60</v>
      </c>
      <c r="E18">
        <v>2</v>
      </c>
      <c r="F18">
        <v>4</v>
      </c>
    </row>
    <row r="20" spans="2:4" ht="12.75">
      <c r="B20" t="s">
        <v>61</v>
      </c>
      <c r="C20">
        <v>5</v>
      </c>
      <c r="D20">
        <v>3</v>
      </c>
    </row>
    <row r="21" spans="2:6" ht="12.75">
      <c r="B21" t="s">
        <v>62</v>
      </c>
      <c r="E21">
        <v>3</v>
      </c>
      <c r="F21">
        <v>3</v>
      </c>
    </row>
    <row r="33" spans="2:5" ht="12.75">
      <c r="B33" t="s">
        <v>45</v>
      </c>
      <c r="C33" t="s">
        <v>46</v>
      </c>
      <c r="D33" t="s">
        <v>47</v>
      </c>
      <c r="E33" t="s">
        <v>48</v>
      </c>
    </row>
    <row r="34" spans="2:5" ht="12.75">
      <c r="B34">
        <v>0</v>
      </c>
      <c r="C34">
        <v>0</v>
      </c>
      <c r="D34">
        <v>0</v>
      </c>
      <c r="E34">
        <v>0</v>
      </c>
    </row>
    <row r="36" spans="3:6" ht="12.75">
      <c r="C36" t="s">
        <v>64</v>
      </c>
      <c r="D36" t="s">
        <v>65</v>
      </c>
      <c r="E36" t="s">
        <v>42</v>
      </c>
      <c r="F36" t="s">
        <v>66</v>
      </c>
    </row>
    <row r="37" ht="12.75"/>
    <row r="38" spans="2:5" ht="12.75">
      <c r="B38">
        <f>Sheet1!D2</f>
        <v>2010</v>
      </c>
      <c r="C38" s="70">
        <f>Sheet1!D26</f>
        <v>46.6336047118736</v>
      </c>
      <c r="D38" s="70">
        <f>Sheet1!D27</f>
        <v>18.70019236566362</v>
      </c>
      <c r="E38" s="70"/>
    </row>
    <row r="39" spans="2:6" ht="12.75">
      <c r="C39" s="70"/>
      <c r="D39" s="70"/>
      <c r="E39" s="70">
        <f>Sheet1!D28</f>
        <v>25.73755642448436</v>
      </c>
      <c r="F39">
        <v>0</v>
      </c>
    </row>
    <row r="40" spans="2:5" ht="12.75">
      <c r="C40" s="70"/>
      <c r="D40" s="70"/>
      <c r="E40" s="70"/>
    </row>
    <row r="41" spans="2:5" ht="12.75">
      <c r="B41">
        <f>Sheet1!E2</f>
        <v>2011</v>
      </c>
      <c r="C41" s="70">
        <f>Sheet1!E26</f>
        <v>80.83158150058091</v>
      </c>
      <c r="D41" s="70">
        <f>Sheet1!E27</f>
        <v>32.72533663991133</v>
      </c>
      <c r="E41" s="70"/>
    </row>
    <row r="42" spans="2:6" ht="12.75">
      <c r="C42" s="70"/>
      <c r="D42" s="70"/>
      <c r="E42" s="70">
        <f>Sheet1!E28</f>
        <v>42.66987227097284</v>
      </c>
      <c r="F42">
        <v>0</v>
      </c>
    </row>
    <row r="43" spans="2:5" ht="12.75">
      <c r="C43" s="70"/>
      <c r="D43" s="70"/>
      <c r="E43" s="70"/>
    </row>
    <row r="44" spans="2:5" ht="12.75">
      <c r="B44">
        <f>Sheet1!F2</f>
        <v>2012</v>
      </c>
      <c r="C44" s="70">
        <f>Sheet1!F26</f>
        <v>136.79190715482923</v>
      </c>
      <c r="D44" s="70">
        <f>Sheet1!F27</f>
        <v>56.10057709699087</v>
      </c>
      <c r="E44" s="70"/>
    </row>
    <row r="45" spans="2:6" ht="12.75">
      <c r="C45" s="70"/>
      <c r="D45" s="70"/>
      <c r="E45" s="70">
        <f>Sheet1!F28</f>
        <v>64.2974947506067</v>
      </c>
      <c r="F45">
        <v>0</v>
      </c>
    </row>
    <row r="46" spans="2:5" ht="12.75">
      <c r="C46" s="70"/>
      <c r="D46" s="70"/>
      <c r="E46" s="70"/>
    </row>
    <row r="47" spans="2:5" ht="12.75">
      <c r="B47">
        <f>Sheet1!G2</f>
        <v>2013</v>
      </c>
      <c r="C47" s="70">
        <f>Sheet1!G26</f>
        <v>201.45717235529395</v>
      </c>
      <c r="D47" s="70">
        <f>Sheet1!G27</f>
        <v>84.15086564548628</v>
      </c>
      <c r="E47" s="70"/>
    </row>
    <row r="48" spans="2:6" ht="12.75">
      <c r="C48" s="70"/>
      <c r="D48" s="70"/>
      <c r="E48" s="70">
        <f>Sheet1!G28</f>
        <v>80.2422582954573</v>
      </c>
      <c r="F48">
        <v>0</v>
      </c>
    </row>
    <row r="49" spans="2:5" ht="12.75">
      <c r="C49" s="70"/>
      <c r="D49" s="70"/>
      <c r="E49" s="70"/>
    </row>
    <row r="50" spans="2:5" ht="12.75">
      <c r="B50">
        <f>Sheet1!H2</f>
        <v>2014</v>
      </c>
      <c r="C50" s="70">
        <f>Sheet1!H26</f>
        <v>250.70225893103256</v>
      </c>
      <c r="D50" s="70">
        <f>Sheet1!H27</f>
        <v>134.64138503277806</v>
      </c>
      <c r="E50" s="70"/>
    </row>
    <row r="51" spans="2:6" ht="12.75">
      <c r="C51" s="70"/>
      <c r="D51" s="70"/>
      <c r="E51" s="70">
        <f>Sheet1!H28</f>
        <v>91.74848665805015</v>
      </c>
      <c r="F51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esaunig</cp:lastModifiedBy>
  <dcterms:created xsi:type="dcterms:W3CDTF">2010-04-22T08:40:04Z</dcterms:created>
  <dcterms:modified xsi:type="dcterms:W3CDTF">2010-04-24T23:17:21Z</dcterms:modified>
  <cp:category/>
  <cp:version/>
  <cp:contentType/>
  <cp:contentStatus/>
</cp:coreProperties>
</file>